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50" windowHeight="8940" activeTab="0"/>
  </bookViews>
  <sheets>
    <sheet name="A" sheetId="1" r:id="rId1"/>
    <sheet name="Sheet1" sheetId="2" r:id="rId2"/>
  </sheets>
  <definedNames>
    <definedName name="_xlnm.Print_Area" localSheetId="0">'A'!$B$1:$F$72</definedName>
  </definedNames>
  <calcPr fullCalcOnLoad="1"/>
</workbook>
</file>

<file path=xl/sharedStrings.xml><?xml version="1.0" encoding="utf-8"?>
<sst xmlns="http://schemas.openxmlformats.org/spreadsheetml/2006/main" count="70" uniqueCount="70">
  <si>
    <t>Department</t>
  </si>
  <si>
    <t>Total</t>
  </si>
  <si>
    <t>Board of Supervisors</t>
  </si>
  <si>
    <t>County Administrator</t>
  </si>
  <si>
    <t>Finance Department</t>
  </si>
  <si>
    <t>Legal Services</t>
  </si>
  <si>
    <t>Information Technology</t>
  </si>
  <si>
    <t>Commissioner of the Revenue</t>
  </si>
  <si>
    <t>Assessor</t>
  </si>
  <si>
    <t>Treasurer</t>
  </si>
  <si>
    <t>Electoral Board</t>
  </si>
  <si>
    <t>Registrar</t>
  </si>
  <si>
    <t>Circuit Court, Judges Office</t>
  </si>
  <si>
    <t>District Courts</t>
  </si>
  <si>
    <t>Juvenile Court</t>
  </si>
  <si>
    <t>Magistrate's Office</t>
  </si>
  <si>
    <t>Clerk of the Circuit Court</t>
  </si>
  <si>
    <t>Commonwealth's Attorney</t>
  </si>
  <si>
    <t>Victim Witness Grant Program</t>
  </si>
  <si>
    <t>Courtroom Security</t>
  </si>
  <si>
    <t>Law Library</t>
  </si>
  <si>
    <t>Sheriff</t>
  </si>
  <si>
    <t>Day Reporting</t>
  </si>
  <si>
    <t>Highway Safety</t>
  </si>
  <si>
    <t>Volunteer Fire Departments</t>
  </si>
  <si>
    <t>Volunteer Rescue Squads</t>
  </si>
  <si>
    <t>Emergency Communications</t>
  </si>
  <si>
    <t>New River Jail Authority Payments</t>
  </si>
  <si>
    <t>Juvenile Detention, Youth and Family Services</t>
  </si>
  <si>
    <t>Probation</t>
  </si>
  <si>
    <t>Building Inspector</t>
  </si>
  <si>
    <t>Animal Control</t>
  </si>
  <si>
    <t>Emergency Services</t>
  </si>
  <si>
    <t>Carroll Fire and Rescue</t>
  </si>
  <si>
    <t>Litter Control</t>
  </si>
  <si>
    <t>Solid Waste Authority</t>
  </si>
  <si>
    <t>Public Service Authority</t>
  </si>
  <si>
    <t>Cana Trash Site Operation</t>
  </si>
  <si>
    <t>Maintenance of County Complex</t>
  </si>
  <si>
    <t>Maintenance of Cannery</t>
  </si>
  <si>
    <t>Maintenance of General Properties</t>
  </si>
  <si>
    <t xml:space="preserve">Maintenance Force    </t>
  </si>
  <si>
    <t>Woodlawn School</t>
  </si>
  <si>
    <t>Supplement to Local Heath Department</t>
  </si>
  <si>
    <t>Mount Rogers CSB (Mental Health)</t>
  </si>
  <si>
    <t>Public Assistance and Welfare Administration</t>
  </si>
  <si>
    <t>Children's Services Act</t>
  </si>
  <si>
    <t>County Fair</t>
  </si>
  <si>
    <t>Senior Citizens Programs</t>
  </si>
  <si>
    <t>Recreation Department</t>
  </si>
  <si>
    <t>Library</t>
  </si>
  <si>
    <t>Tourism</t>
  </si>
  <si>
    <t>Planning Commission</t>
  </si>
  <si>
    <t>Economic Development</t>
  </si>
  <si>
    <t>Small Business Dev Center</t>
  </si>
  <si>
    <t>Soil and Water Conservation District</t>
  </si>
  <si>
    <t>Cooperative Extension and Education Programs</t>
  </si>
  <si>
    <t>Farmers' Market</t>
  </si>
  <si>
    <t>Community Colleges</t>
  </si>
  <si>
    <t>School Board</t>
  </si>
  <si>
    <t>Twin Co. Airport Contribution</t>
  </si>
  <si>
    <t>Transfers</t>
  </si>
  <si>
    <t>Nondepartmental</t>
  </si>
  <si>
    <t>FY 21 Budget</t>
  </si>
  <si>
    <t>Appropriation this quarter</t>
  </si>
  <si>
    <t>FY 21 Previous appropriation</t>
  </si>
  <si>
    <t>Total FY 21 Appropriation to date</t>
  </si>
  <si>
    <t>Mapping</t>
  </si>
  <si>
    <t>% Remaining to Appropriate</t>
  </si>
  <si>
    <t>Left to Appropriate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</si>
</sst>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%"/>
    <numFmt numFmtId="166" formatCode="_([$$-409]* #,##0.00_);_([$$-409]* \(#,##0.00\);_([$$-409]* &quot;-&quot;??_);_(@_)"/>
    <numFmt numFmtId="167" formatCode="_([$$-409]* #,##0.0_);_([$$-409]* \(#,##0.0\);_([$$-409]* &quot;-&quot;??_);_(@_)"/>
    <numFmt numFmtId="168" formatCode="_([$$-409]* #,##0_);_([$$-409]* \(#,##0\);_([$$-409]* &quot;-&quot;??_);_(@_)"/>
    <numFmt numFmtId="169" formatCode="&quot;$&quot;#,##0.0"/>
    <numFmt numFmtId="170" formatCode="&quot;$&quot;#,##0"/>
    <numFmt numFmtId="171" formatCode="&quot;$&quot;#,##0.00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 horizontal="fill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42" fillId="0" borderId="1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 horizontal="fill"/>
    </xf>
    <xf numFmtId="41" fontId="4" fillId="0" borderId="0" xfId="0" applyNumberFormat="1" applyFont="1" applyAlignment="1">
      <alignment/>
    </xf>
    <xf numFmtId="41" fontId="43" fillId="33" borderId="10" xfId="0" applyNumberFormat="1" applyFont="1" applyFill="1" applyBorder="1" applyAlignment="1" applyProtection="1">
      <alignment horizontal="right" vertical="top"/>
      <protection locked="0"/>
    </xf>
    <xf numFmtId="0" fontId="5" fillId="0" borderId="10" xfId="0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1" fontId="42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0" fontId="5" fillId="0" borderId="10" xfId="0" applyNumberFormat="1" applyFont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12" xfId="0" applyNumberFormat="1" applyFont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44" fillId="0" borderId="1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Layout" workbookViewId="0" topLeftCell="B13">
      <selection activeCell="K30" sqref="K30"/>
    </sheetView>
  </sheetViews>
  <sheetFormatPr defaultColWidth="9.6640625" defaultRowHeight="18" customHeight="1"/>
  <cols>
    <col min="1" max="1" width="4.10546875" style="1" hidden="1" customWidth="1"/>
    <col min="2" max="2" width="25.88671875" style="1" customWidth="1"/>
    <col min="3" max="3" width="8.5546875" style="1" bestFit="1" customWidth="1"/>
    <col min="4" max="4" width="9.77734375" style="1" customWidth="1"/>
    <col min="5" max="5" width="8.99609375" style="1" customWidth="1"/>
    <col min="6" max="7" width="10.4453125" style="1" customWidth="1"/>
    <col min="8" max="8" width="9.6640625" style="1" customWidth="1"/>
    <col min="9" max="9" width="10.88671875" style="1" bestFit="1" customWidth="1"/>
    <col min="10" max="16384" width="9.6640625" style="1" customWidth="1"/>
  </cols>
  <sheetData>
    <row r="1" spans="1:7" ht="18" customHeight="1" thickBot="1">
      <c r="A1" s="9"/>
      <c r="B1" s="10"/>
      <c r="C1" s="10"/>
      <c r="D1" s="10"/>
      <c r="E1" s="10"/>
      <c r="F1" s="10"/>
      <c r="G1" s="10"/>
    </row>
    <row r="2" spans="1:8" ht="18" customHeight="1">
      <c r="A2" s="6"/>
      <c r="B2" s="31" t="s">
        <v>0</v>
      </c>
      <c r="C2" s="29" t="s">
        <v>63</v>
      </c>
      <c r="D2" s="29" t="s">
        <v>65</v>
      </c>
      <c r="E2" s="29" t="s">
        <v>64</v>
      </c>
      <c r="F2" s="29" t="s">
        <v>66</v>
      </c>
      <c r="G2" s="29" t="s">
        <v>69</v>
      </c>
      <c r="H2" s="29" t="s">
        <v>68</v>
      </c>
    </row>
    <row r="3" spans="1:8" ht="18" customHeight="1">
      <c r="A3" s="7"/>
      <c r="B3" s="32"/>
      <c r="C3" s="32"/>
      <c r="D3" s="32"/>
      <c r="E3" s="32"/>
      <c r="F3" s="30"/>
      <c r="G3" s="30"/>
      <c r="H3" s="30"/>
    </row>
    <row r="4" spans="1:8" ht="18" customHeight="1" thickBot="1">
      <c r="A4" s="8"/>
      <c r="B4" s="32"/>
      <c r="C4" s="32"/>
      <c r="D4" s="33"/>
      <c r="E4" s="33"/>
      <c r="F4" s="30"/>
      <c r="G4" s="30"/>
      <c r="H4" s="30"/>
    </row>
    <row r="5" spans="1:8" ht="15">
      <c r="A5" s="5">
        <v>1101</v>
      </c>
      <c r="B5" s="4" t="s">
        <v>2</v>
      </c>
      <c r="C5" s="20">
        <v>222199</v>
      </c>
      <c r="D5" s="14">
        <f>105491+40351+7500+38737</f>
        <v>192079</v>
      </c>
      <c r="E5" s="14">
        <v>30120</v>
      </c>
      <c r="F5" s="15">
        <f aca="true" t="shared" si="0" ref="F5:F36">SUM(D5:E5)</f>
        <v>222199</v>
      </c>
      <c r="G5" s="15">
        <f>C5-F5</f>
        <v>0</v>
      </c>
      <c r="H5" s="27">
        <f>1-(F5/C5)</f>
        <v>0</v>
      </c>
    </row>
    <row r="6" spans="1:12" ht="15">
      <c r="A6" s="4">
        <v>1202</v>
      </c>
      <c r="B6" s="4" t="s">
        <v>3</v>
      </c>
      <c r="C6" s="13">
        <v>429676.09</v>
      </c>
      <c r="D6" s="14">
        <f>66943+74201+16539.09+144902</f>
        <v>302585.08999999997</v>
      </c>
      <c r="E6" s="14">
        <v>127091</v>
      </c>
      <c r="F6" s="15">
        <f t="shared" si="0"/>
        <v>429676.08999999997</v>
      </c>
      <c r="G6" s="15">
        <f aca="true" t="shared" si="1" ref="G6:G66">C6-F6</f>
        <v>0</v>
      </c>
      <c r="H6" s="27">
        <f aca="true" t="shared" si="2" ref="H6:H66">1-(F6/C6)</f>
        <v>0</v>
      </c>
      <c r="K6"/>
      <c r="L6"/>
    </row>
    <row r="7" spans="1:12" ht="15">
      <c r="A7" s="4">
        <v>1204</v>
      </c>
      <c r="B7" s="4" t="s">
        <v>4</v>
      </c>
      <c r="C7" s="13">
        <v>278691.75</v>
      </c>
      <c r="D7" s="14">
        <f>74107.5+74537+14969.75+66651</f>
        <v>230265.25</v>
      </c>
      <c r="E7" s="14">
        <v>48427</v>
      </c>
      <c r="F7" s="15">
        <f t="shared" si="0"/>
        <v>278692.25</v>
      </c>
      <c r="G7" s="15">
        <v>0</v>
      </c>
      <c r="H7" s="27">
        <f t="shared" si="2"/>
        <v>-1.7940968830565396E-06</v>
      </c>
      <c r="K7"/>
      <c r="L7"/>
    </row>
    <row r="8" spans="1:12" ht="15">
      <c r="A8" s="4">
        <v>1205</v>
      </c>
      <c r="B8" s="4" t="s">
        <v>5</v>
      </c>
      <c r="C8" s="13">
        <v>75000</v>
      </c>
      <c r="D8" s="14">
        <f>18750+18750+18750</f>
        <v>56250</v>
      </c>
      <c r="E8" s="14">
        <v>18750</v>
      </c>
      <c r="F8" s="15">
        <f t="shared" si="0"/>
        <v>75000</v>
      </c>
      <c r="G8" s="15">
        <f t="shared" si="1"/>
        <v>0</v>
      </c>
      <c r="H8" s="27">
        <f t="shared" si="2"/>
        <v>0</v>
      </c>
      <c r="K8"/>
      <c r="L8"/>
    </row>
    <row r="9" spans="1:12" ht="15">
      <c r="A9" s="4">
        <v>1206</v>
      </c>
      <c r="B9" s="4" t="s">
        <v>6</v>
      </c>
      <c r="C9" s="13">
        <v>267844.5</v>
      </c>
      <c r="D9" s="14">
        <f>66838.25+72748+1076.5+66643</f>
        <v>207305.75</v>
      </c>
      <c r="E9" s="14">
        <v>60539</v>
      </c>
      <c r="F9" s="15">
        <f t="shared" si="0"/>
        <v>267844.75</v>
      </c>
      <c r="G9" s="15">
        <v>0</v>
      </c>
      <c r="H9" s="27">
        <f t="shared" si="2"/>
        <v>-9.33377388712131E-07</v>
      </c>
      <c r="K9"/>
      <c r="L9"/>
    </row>
    <row r="10" spans="1:12" ht="15">
      <c r="A10" s="4">
        <v>1209</v>
      </c>
      <c r="B10" s="4" t="s">
        <v>7</v>
      </c>
      <c r="C10" s="13">
        <v>359739.25</v>
      </c>
      <c r="D10" s="14">
        <f>89404.5+99769+9375.25+86989</f>
        <v>285537.75</v>
      </c>
      <c r="E10" s="14">
        <v>74202</v>
      </c>
      <c r="F10" s="15">
        <f t="shared" si="0"/>
        <v>359739.75</v>
      </c>
      <c r="G10" s="15">
        <v>0</v>
      </c>
      <c r="H10" s="27">
        <f t="shared" si="2"/>
        <v>-1.3898955979474437E-06</v>
      </c>
      <c r="K10"/>
      <c r="L10"/>
    </row>
    <row r="11" spans="1:12" ht="15">
      <c r="A11" s="4"/>
      <c r="B11" s="4" t="s">
        <v>67</v>
      </c>
      <c r="C11" s="13">
        <v>34860</v>
      </c>
      <c r="D11" s="14">
        <f>8715+8715+8715</f>
        <v>26145</v>
      </c>
      <c r="E11" s="14">
        <v>8715</v>
      </c>
      <c r="F11" s="15">
        <f t="shared" si="0"/>
        <v>34860</v>
      </c>
      <c r="G11" s="15">
        <f t="shared" si="1"/>
        <v>0</v>
      </c>
      <c r="H11" s="27">
        <f t="shared" si="2"/>
        <v>0</v>
      </c>
      <c r="K11"/>
      <c r="L11"/>
    </row>
    <row r="12" spans="1:12" ht="15">
      <c r="A12" s="4">
        <v>1213</v>
      </c>
      <c r="B12" s="4" t="s">
        <v>8</v>
      </c>
      <c r="C12" s="13">
        <v>300000</v>
      </c>
      <c r="D12" s="14">
        <f>75000+75000+75000</f>
        <v>225000</v>
      </c>
      <c r="E12" s="14">
        <v>75000</v>
      </c>
      <c r="F12" s="15">
        <f t="shared" si="0"/>
        <v>300000</v>
      </c>
      <c r="G12" s="15">
        <f t="shared" si="1"/>
        <v>0</v>
      </c>
      <c r="H12" s="27">
        <f t="shared" si="2"/>
        <v>0</v>
      </c>
      <c r="K12"/>
      <c r="L12"/>
    </row>
    <row r="13" spans="1:12" ht="15">
      <c r="A13" s="4">
        <v>1301</v>
      </c>
      <c r="B13" s="4" t="s">
        <v>9</v>
      </c>
      <c r="C13" s="13">
        <v>429977.5</v>
      </c>
      <c r="D13" s="14">
        <f>107021.5+120199+3229.5+106576</f>
        <v>337026</v>
      </c>
      <c r="E13" s="14">
        <v>92952</v>
      </c>
      <c r="F13" s="15">
        <f t="shared" si="0"/>
        <v>429978</v>
      </c>
      <c r="G13" s="15">
        <v>0</v>
      </c>
      <c r="H13" s="27">
        <f t="shared" si="2"/>
        <v>-1.1628515446115983E-06</v>
      </c>
      <c r="K13"/>
      <c r="L13"/>
    </row>
    <row r="14" spans="1:12" ht="15">
      <c r="A14" s="4">
        <v>1302</v>
      </c>
      <c r="B14" s="4" t="s">
        <v>10</v>
      </c>
      <c r="C14" s="13">
        <v>87019</v>
      </c>
      <c r="D14" s="14">
        <f>34150.75+48212+2513</f>
        <v>84875.75</v>
      </c>
      <c r="E14" s="14">
        <v>2143</v>
      </c>
      <c r="F14" s="15">
        <f t="shared" si="0"/>
        <v>87018.75</v>
      </c>
      <c r="G14" s="15">
        <v>0</v>
      </c>
      <c r="H14" s="27">
        <f t="shared" si="2"/>
        <v>2.8729357955947776E-06</v>
      </c>
      <c r="K14"/>
      <c r="L14"/>
    </row>
    <row r="15" spans="1:12" ht="15">
      <c r="A15" s="4">
        <v>2101</v>
      </c>
      <c r="B15" s="4" t="s">
        <v>11</v>
      </c>
      <c r="C15" s="13">
        <v>164634</v>
      </c>
      <c r="D15" s="14">
        <f>41847.5+45541+1384.4+40468</f>
        <v>129240.9</v>
      </c>
      <c r="E15" s="14">
        <v>35393</v>
      </c>
      <c r="F15" s="15">
        <f t="shared" si="0"/>
        <v>164633.9</v>
      </c>
      <c r="G15" s="15">
        <v>0</v>
      </c>
      <c r="H15" s="27">
        <f t="shared" si="2"/>
        <v>6.074079473838978E-07</v>
      </c>
      <c r="K15"/>
      <c r="L15"/>
    </row>
    <row r="16" spans="1:12" ht="15">
      <c r="A16" s="4">
        <v>21021</v>
      </c>
      <c r="B16" s="12" t="s">
        <v>12</v>
      </c>
      <c r="C16" s="13">
        <v>64703.25</v>
      </c>
      <c r="D16" s="14">
        <f>16105.75+18507+538.25+16021</f>
        <v>51172</v>
      </c>
      <c r="E16" s="14">
        <v>13531</v>
      </c>
      <c r="F16" s="15">
        <f t="shared" si="0"/>
        <v>64703</v>
      </c>
      <c r="G16" s="15">
        <v>0</v>
      </c>
      <c r="H16" s="27">
        <f t="shared" si="2"/>
        <v>3.863793549774286E-06</v>
      </c>
      <c r="K16"/>
      <c r="L16"/>
    </row>
    <row r="17" spans="1:12" ht="15">
      <c r="A17" s="4">
        <v>2103</v>
      </c>
      <c r="B17" s="12" t="s">
        <v>13</v>
      </c>
      <c r="C17" s="13">
        <v>15565</v>
      </c>
      <c r="D17" s="14">
        <f>3891+3891+3891</f>
        <v>11673</v>
      </c>
      <c r="E17" s="14">
        <v>3892</v>
      </c>
      <c r="F17" s="15">
        <f t="shared" si="0"/>
        <v>15565</v>
      </c>
      <c r="G17" s="15">
        <f t="shared" si="1"/>
        <v>0</v>
      </c>
      <c r="H17" s="27">
        <f t="shared" si="2"/>
        <v>0</v>
      </c>
      <c r="K17"/>
      <c r="L17"/>
    </row>
    <row r="18" spans="1:12" ht="15">
      <c r="A18" s="4">
        <v>2106</v>
      </c>
      <c r="B18" s="12" t="s">
        <v>14</v>
      </c>
      <c r="C18" s="13">
        <v>9800</v>
      </c>
      <c r="D18" s="14">
        <f>2450+2450+2450</f>
        <v>7350</v>
      </c>
      <c r="E18" s="14">
        <v>2450</v>
      </c>
      <c r="F18" s="15">
        <f t="shared" si="0"/>
        <v>9800</v>
      </c>
      <c r="G18" s="15">
        <f t="shared" si="1"/>
        <v>0</v>
      </c>
      <c r="H18" s="27">
        <f t="shared" si="2"/>
        <v>0</v>
      </c>
      <c r="K18"/>
      <c r="L18"/>
    </row>
    <row r="19" spans="1:12" ht="15">
      <c r="A19" s="4">
        <v>2107</v>
      </c>
      <c r="B19" s="12" t="s">
        <v>15</v>
      </c>
      <c r="C19" s="13">
        <v>3365</v>
      </c>
      <c r="D19" s="14">
        <f>841.25+841+841</f>
        <v>2523.25</v>
      </c>
      <c r="E19" s="14">
        <v>841.75</v>
      </c>
      <c r="F19" s="15">
        <f t="shared" si="0"/>
        <v>3365</v>
      </c>
      <c r="G19" s="15">
        <v>0</v>
      </c>
      <c r="H19" s="27">
        <f t="shared" si="2"/>
        <v>0</v>
      </c>
      <c r="K19"/>
      <c r="L19"/>
    </row>
    <row r="20" spans="1:12" ht="15">
      <c r="A20" s="4">
        <v>2108</v>
      </c>
      <c r="B20" s="12" t="s">
        <v>16</v>
      </c>
      <c r="C20" s="13">
        <v>526863.75</v>
      </c>
      <c r="D20" s="14">
        <f>131700+149759+3767.75+130626</f>
        <v>415852.75</v>
      </c>
      <c r="E20" s="14">
        <v>111011</v>
      </c>
      <c r="F20" s="15">
        <f t="shared" si="0"/>
        <v>526863.75</v>
      </c>
      <c r="G20" s="15">
        <f t="shared" si="1"/>
        <v>0</v>
      </c>
      <c r="H20" s="27">
        <f t="shared" si="2"/>
        <v>0</v>
      </c>
      <c r="K20"/>
      <c r="L20"/>
    </row>
    <row r="21" spans="1:12" ht="15">
      <c r="A21" s="4">
        <v>2109</v>
      </c>
      <c r="B21" s="12" t="s">
        <v>17</v>
      </c>
      <c r="C21" s="13">
        <v>617961.7</v>
      </c>
      <c r="D21" s="14">
        <f>155515.5+176771+3276.7+153057</f>
        <v>488620.2</v>
      </c>
      <c r="E21" s="14">
        <v>129342</v>
      </c>
      <c r="F21" s="15">
        <f t="shared" si="0"/>
        <v>617962.2</v>
      </c>
      <c r="G21" s="15">
        <v>0</v>
      </c>
      <c r="H21" s="27">
        <f t="shared" si="2"/>
        <v>-8.091116325825709E-07</v>
      </c>
      <c r="K21"/>
      <c r="L21"/>
    </row>
    <row r="22" spans="1:12" ht="15">
      <c r="A22" s="4">
        <v>2201</v>
      </c>
      <c r="B22" s="12" t="s">
        <v>18</v>
      </c>
      <c r="C22" s="13">
        <v>95490.61</v>
      </c>
      <c r="D22" s="14">
        <f>55834+15139+728.61+12976</f>
        <v>84677.61</v>
      </c>
      <c r="E22" s="14">
        <v>10813</v>
      </c>
      <c r="F22" s="15">
        <f t="shared" si="0"/>
        <v>95490.61</v>
      </c>
      <c r="G22" s="15">
        <f t="shared" si="1"/>
        <v>0</v>
      </c>
      <c r="H22" s="27">
        <f t="shared" si="2"/>
        <v>0</v>
      </c>
      <c r="K22"/>
      <c r="L22"/>
    </row>
    <row r="23" spans="1:12" ht="15">
      <c r="A23" s="4">
        <v>3102</v>
      </c>
      <c r="B23" s="12" t="s">
        <v>19</v>
      </c>
      <c r="C23" s="13">
        <v>357551.94</v>
      </c>
      <c r="D23" s="14">
        <f>96568+100004+3832.94+85717</f>
        <v>286121.94</v>
      </c>
      <c r="E23" s="14">
        <v>71430</v>
      </c>
      <c r="F23" s="15">
        <f t="shared" si="0"/>
        <v>357551.94</v>
      </c>
      <c r="G23" s="15">
        <f t="shared" si="1"/>
        <v>0</v>
      </c>
      <c r="H23" s="34">
        <f t="shared" si="2"/>
        <v>0</v>
      </c>
      <c r="K23"/>
      <c r="L23"/>
    </row>
    <row r="24" spans="1:12" ht="15">
      <c r="A24" s="4">
        <v>31021</v>
      </c>
      <c r="B24" s="12" t="s">
        <v>20</v>
      </c>
      <c r="C24" s="13">
        <v>5000</v>
      </c>
      <c r="D24" s="14">
        <f>1250+1250+1250</f>
        <v>3750</v>
      </c>
      <c r="E24" s="14">
        <v>1250</v>
      </c>
      <c r="F24" s="15">
        <f t="shared" si="0"/>
        <v>5000</v>
      </c>
      <c r="G24" s="15">
        <f t="shared" si="1"/>
        <v>0</v>
      </c>
      <c r="H24" s="34">
        <f t="shared" si="2"/>
        <v>0</v>
      </c>
      <c r="K24"/>
      <c r="L24"/>
    </row>
    <row r="25" spans="1:12" ht="15">
      <c r="A25" s="4">
        <v>31024</v>
      </c>
      <c r="B25" s="4" t="s">
        <v>21</v>
      </c>
      <c r="C25" s="13">
        <v>2459269.64</v>
      </c>
      <c r="D25" s="14">
        <f>685615.86+657926+57593.82+574928+15571</f>
        <v>1991634.68</v>
      </c>
      <c r="E25" s="14">
        <v>467635</v>
      </c>
      <c r="F25" s="15">
        <f t="shared" si="0"/>
        <v>2459269.6799999997</v>
      </c>
      <c r="G25" s="15">
        <v>0</v>
      </c>
      <c r="H25" s="34">
        <f t="shared" si="2"/>
        <v>-1.6264991353764913E-08</v>
      </c>
      <c r="K25"/>
      <c r="L25"/>
    </row>
    <row r="26" spans="1:8" ht="15">
      <c r="A26" s="4">
        <v>31025</v>
      </c>
      <c r="B26" s="4" t="s">
        <v>22</v>
      </c>
      <c r="C26" s="13">
        <v>32291.25</v>
      </c>
      <c r="D26" s="14">
        <v>32291.25</v>
      </c>
      <c r="E26" s="14">
        <v>0</v>
      </c>
      <c r="F26" s="15">
        <f t="shared" si="0"/>
        <v>32291.25</v>
      </c>
      <c r="G26" s="15">
        <f t="shared" si="1"/>
        <v>0</v>
      </c>
      <c r="H26" s="34">
        <f t="shared" si="2"/>
        <v>0</v>
      </c>
    </row>
    <row r="27" spans="1:8" ht="15">
      <c r="A27" s="4">
        <v>31026</v>
      </c>
      <c r="B27" s="4" t="s">
        <v>23</v>
      </c>
      <c r="C27" s="13">
        <v>1012738.97</v>
      </c>
      <c r="D27" s="14">
        <f>444630.75+165923+136871.97+148731</f>
        <v>896156.72</v>
      </c>
      <c r="E27" s="14">
        <v>116582</v>
      </c>
      <c r="F27" s="15">
        <f t="shared" si="0"/>
        <v>1012738.72</v>
      </c>
      <c r="G27" s="15">
        <v>0</v>
      </c>
      <c r="H27" s="34">
        <f t="shared" si="2"/>
        <v>2.4685531752055567E-07</v>
      </c>
    </row>
    <row r="28" spans="1:8" ht="15">
      <c r="A28" s="4">
        <v>31022</v>
      </c>
      <c r="B28" s="4" t="s">
        <v>24</v>
      </c>
      <c r="C28" s="13">
        <v>1030680.82</v>
      </c>
      <c r="D28" s="14">
        <f>634726.04+102797+113277.82+102797</f>
        <v>953597.8600000001</v>
      </c>
      <c r="E28" s="14">
        <v>77083</v>
      </c>
      <c r="F28" s="15">
        <f t="shared" si="0"/>
        <v>1030680.8600000001</v>
      </c>
      <c r="G28" s="15">
        <v>0</v>
      </c>
      <c r="H28" s="34">
        <f t="shared" si="2"/>
        <v>-3.880929910771158E-08</v>
      </c>
    </row>
    <row r="29" spans="1:8" ht="15">
      <c r="A29" s="4">
        <v>3202</v>
      </c>
      <c r="B29" s="4" t="s">
        <v>25</v>
      </c>
      <c r="C29" s="13">
        <v>390539.75</v>
      </c>
      <c r="D29" s="14">
        <f>140696.75+82120+82120+3484</f>
        <v>308420.75</v>
      </c>
      <c r="E29" s="14">
        <v>82119</v>
      </c>
      <c r="F29" s="15">
        <f t="shared" si="0"/>
        <v>390539.75</v>
      </c>
      <c r="G29" s="15">
        <f t="shared" si="1"/>
        <v>0</v>
      </c>
      <c r="H29" s="34">
        <f t="shared" si="2"/>
        <v>0</v>
      </c>
    </row>
    <row r="30" spans="1:8" ht="15">
      <c r="A30" s="4"/>
      <c r="B30" s="4" t="s">
        <v>26</v>
      </c>
      <c r="C30" s="13">
        <v>374154</v>
      </c>
      <c r="D30" s="14">
        <f>93538.5+93539+93539</f>
        <v>280616.5</v>
      </c>
      <c r="E30" s="14">
        <v>93538</v>
      </c>
      <c r="F30" s="15">
        <f t="shared" si="0"/>
        <v>374154.5</v>
      </c>
      <c r="G30" s="15">
        <v>0</v>
      </c>
      <c r="H30" s="34">
        <f t="shared" si="2"/>
        <v>-1.3363481348172002E-06</v>
      </c>
    </row>
    <row r="31" spans="1:8" ht="15">
      <c r="A31" s="4"/>
      <c r="B31" s="4" t="s">
        <v>27</v>
      </c>
      <c r="C31" s="13">
        <v>3000000</v>
      </c>
      <c r="D31" s="14">
        <f>750000+750000+750000</f>
        <v>2250000</v>
      </c>
      <c r="E31" s="14">
        <v>750000</v>
      </c>
      <c r="F31" s="15">
        <f t="shared" si="0"/>
        <v>3000000</v>
      </c>
      <c r="G31" s="15">
        <f t="shared" si="1"/>
        <v>0</v>
      </c>
      <c r="H31" s="34">
        <f t="shared" si="2"/>
        <v>0</v>
      </c>
    </row>
    <row r="32" spans="1:8" ht="15">
      <c r="A32" s="4">
        <v>32022</v>
      </c>
      <c r="B32" s="4" t="s">
        <v>28</v>
      </c>
      <c r="C32" s="13">
        <v>239000</v>
      </c>
      <c r="D32" s="14">
        <f>59750+59750+59750</f>
        <v>179250</v>
      </c>
      <c r="E32" s="14">
        <v>59750</v>
      </c>
      <c r="F32" s="15">
        <f t="shared" si="0"/>
        <v>239000</v>
      </c>
      <c r="G32" s="15">
        <f t="shared" si="1"/>
        <v>0</v>
      </c>
      <c r="H32" s="34">
        <f t="shared" si="2"/>
        <v>0</v>
      </c>
    </row>
    <row r="33" spans="1:8" ht="15">
      <c r="A33" s="4">
        <v>32023</v>
      </c>
      <c r="B33" s="4" t="s">
        <v>29</v>
      </c>
      <c r="C33" s="13">
        <v>2775</v>
      </c>
      <c r="D33" s="14">
        <f>693.75+694+694</f>
        <v>2081.75</v>
      </c>
      <c r="E33" s="14">
        <v>693.25</v>
      </c>
      <c r="F33" s="15">
        <f t="shared" si="0"/>
        <v>2775</v>
      </c>
      <c r="G33" s="15">
        <v>0</v>
      </c>
      <c r="H33" s="34">
        <f t="shared" si="2"/>
        <v>0</v>
      </c>
    </row>
    <row r="34" spans="1:8" ht="15">
      <c r="A34" s="4">
        <v>32024</v>
      </c>
      <c r="B34" s="4" t="s">
        <v>30</v>
      </c>
      <c r="C34" s="13">
        <v>135358.38</v>
      </c>
      <c r="D34" s="14">
        <f>37644.25+36770+807.38+32302</f>
        <v>107523.63</v>
      </c>
      <c r="E34" s="14">
        <v>27835</v>
      </c>
      <c r="F34" s="15">
        <f t="shared" si="0"/>
        <v>135358.63</v>
      </c>
      <c r="G34" s="15">
        <v>0</v>
      </c>
      <c r="H34" s="34">
        <f t="shared" si="2"/>
        <v>-1.8469488183292526E-06</v>
      </c>
    </row>
    <row r="35" spans="1:8" ht="15">
      <c r="A35" s="4">
        <v>32025</v>
      </c>
      <c r="B35" s="4" t="s">
        <v>31</v>
      </c>
      <c r="C35" s="13">
        <v>120097.25</v>
      </c>
      <c r="D35" s="14">
        <f>31394.25+32131+538.25+29388</f>
        <v>93451.5</v>
      </c>
      <c r="E35" s="14">
        <v>26646</v>
      </c>
      <c r="F35" s="15">
        <f t="shared" si="0"/>
        <v>120097.5</v>
      </c>
      <c r="G35" s="15">
        <v>0</v>
      </c>
      <c r="H35" s="34">
        <f t="shared" si="2"/>
        <v>-2.0816463324191403E-06</v>
      </c>
    </row>
    <row r="36" spans="1:8" ht="15">
      <c r="A36" s="4">
        <v>32026</v>
      </c>
      <c r="B36" s="4" t="s">
        <v>32</v>
      </c>
      <c r="C36" s="13">
        <v>433886.62</v>
      </c>
      <c r="D36" s="14">
        <f>61676+61939+204409.62+56286</f>
        <v>384310.62</v>
      </c>
      <c r="E36" s="14">
        <v>49576</v>
      </c>
      <c r="F36" s="15">
        <f t="shared" si="0"/>
        <v>433886.62</v>
      </c>
      <c r="G36" s="15">
        <f t="shared" si="1"/>
        <v>0</v>
      </c>
      <c r="H36" s="34">
        <f t="shared" si="2"/>
        <v>0</v>
      </c>
    </row>
    <row r="37" spans="1:8" ht="15">
      <c r="A37" s="4"/>
      <c r="B37" s="4" t="s">
        <v>33</v>
      </c>
      <c r="C37" s="13">
        <v>2021898.31</v>
      </c>
      <c r="D37" s="14">
        <f>573120.25+538341+13080.31+478596</f>
        <v>1603137.56</v>
      </c>
      <c r="E37" s="14">
        <v>418761</v>
      </c>
      <c r="F37" s="15">
        <f aca="true" t="shared" si="3" ref="F37:F68">SUM(D37:E37)</f>
        <v>2021898.56</v>
      </c>
      <c r="G37" s="15">
        <v>0</v>
      </c>
      <c r="H37" s="34">
        <f t="shared" si="2"/>
        <v>-1.236461788511889E-07</v>
      </c>
    </row>
    <row r="38" spans="1:8" ht="15">
      <c r="A38" s="4">
        <v>32032</v>
      </c>
      <c r="B38" s="4" t="s">
        <v>34</v>
      </c>
      <c r="C38" s="13">
        <v>10000</v>
      </c>
      <c r="D38" s="14">
        <f>2500+2500+2500</f>
        <v>7500</v>
      </c>
      <c r="E38" s="14">
        <v>2500</v>
      </c>
      <c r="F38" s="15">
        <f t="shared" si="3"/>
        <v>10000</v>
      </c>
      <c r="G38" s="15">
        <f t="shared" si="1"/>
        <v>0</v>
      </c>
      <c r="H38" s="34">
        <f t="shared" si="2"/>
        <v>0</v>
      </c>
    </row>
    <row r="39" spans="1:8" ht="15">
      <c r="A39" s="4">
        <v>32033</v>
      </c>
      <c r="B39" s="4" t="s">
        <v>35</v>
      </c>
      <c r="C39" s="13">
        <v>535813</v>
      </c>
      <c r="D39" s="14">
        <f>134218+155969+133865</f>
        <v>424052</v>
      </c>
      <c r="E39" s="14">
        <v>111761</v>
      </c>
      <c r="F39" s="15">
        <f t="shared" si="3"/>
        <v>535813</v>
      </c>
      <c r="G39" s="15">
        <f t="shared" si="1"/>
        <v>0</v>
      </c>
      <c r="H39" s="34">
        <f t="shared" si="2"/>
        <v>0</v>
      </c>
    </row>
    <row r="40" spans="1:8" ht="15">
      <c r="A40" s="4"/>
      <c r="B40" s="4" t="s">
        <v>36</v>
      </c>
      <c r="C40" s="13">
        <v>659296</v>
      </c>
      <c r="D40" s="14">
        <f>165206.5+191836+164697</f>
        <v>521739.5</v>
      </c>
      <c r="E40" s="14">
        <v>137557</v>
      </c>
      <c r="F40" s="15">
        <f t="shared" si="3"/>
        <v>659296.5</v>
      </c>
      <c r="G40" s="15">
        <v>0</v>
      </c>
      <c r="H40" s="34">
        <f t="shared" si="2"/>
        <v>-7.583847012604394E-07</v>
      </c>
    </row>
    <row r="41" spans="1:8" ht="15">
      <c r="A41" s="4">
        <v>3301</v>
      </c>
      <c r="B41" s="4" t="s">
        <v>37</v>
      </c>
      <c r="C41" s="13">
        <v>20000</v>
      </c>
      <c r="D41" s="14">
        <v>20000</v>
      </c>
      <c r="E41" s="14">
        <v>0</v>
      </c>
      <c r="F41" s="15">
        <v>20000</v>
      </c>
      <c r="G41" s="15">
        <f t="shared" si="1"/>
        <v>0</v>
      </c>
      <c r="H41" s="34">
        <f t="shared" si="2"/>
        <v>0</v>
      </c>
    </row>
    <row r="42" spans="1:8" ht="15">
      <c r="A42" s="4">
        <v>3303</v>
      </c>
      <c r="B42" s="4" t="s">
        <v>38</v>
      </c>
      <c r="C42" s="13">
        <v>321269.03</v>
      </c>
      <c r="D42" s="14">
        <f>69353+70600+62332.03+64044</f>
        <v>266329.03</v>
      </c>
      <c r="E42" s="14">
        <v>54940</v>
      </c>
      <c r="F42" s="15">
        <f t="shared" si="3"/>
        <v>321269.03</v>
      </c>
      <c r="G42" s="15">
        <f t="shared" si="1"/>
        <v>0</v>
      </c>
      <c r="H42" s="34">
        <f t="shared" si="2"/>
        <v>0</v>
      </c>
    </row>
    <row r="43" spans="1:8" ht="15">
      <c r="A43" s="4">
        <v>3401</v>
      </c>
      <c r="B43" s="4" t="s">
        <v>39</v>
      </c>
      <c r="C43" s="13">
        <v>28095</v>
      </c>
      <c r="D43" s="14">
        <f>7442.25+7476+6871</f>
        <v>21789.25</v>
      </c>
      <c r="E43" s="14">
        <v>6306</v>
      </c>
      <c r="F43" s="15">
        <f t="shared" si="3"/>
        <v>28095.25</v>
      </c>
      <c r="G43" s="15">
        <v>0</v>
      </c>
      <c r="H43" s="34">
        <f t="shared" si="2"/>
        <v>-8.898380494670732E-06</v>
      </c>
    </row>
    <row r="44" spans="1:8" ht="15">
      <c r="A44" s="4">
        <v>3501</v>
      </c>
      <c r="B44" s="4" t="s">
        <v>40</v>
      </c>
      <c r="C44" s="13">
        <v>170239</v>
      </c>
      <c r="D44" s="14">
        <f>49117+40374+40374</f>
        <v>129865</v>
      </c>
      <c r="E44" s="14">
        <v>40374</v>
      </c>
      <c r="F44" s="15">
        <f t="shared" si="3"/>
        <v>170239</v>
      </c>
      <c r="G44" s="15">
        <f t="shared" si="1"/>
        <v>0</v>
      </c>
      <c r="H44" s="34">
        <f t="shared" si="2"/>
        <v>0</v>
      </c>
    </row>
    <row r="45" spans="1:8" ht="15">
      <c r="A45" s="4">
        <v>3503</v>
      </c>
      <c r="B45" s="4" t="s">
        <v>41</v>
      </c>
      <c r="C45" s="13">
        <v>455664</v>
      </c>
      <c r="D45" s="14">
        <f>118574.5+126214+2153+111646</f>
        <v>358587.5</v>
      </c>
      <c r="E45" s="14">
        <v>97077</v>
      </c>
      <c r="F45" s="15">
        <f t="shared" si="3"/>
        <v>455664.5</v>
      </c>
      <c r="G45" s="15">
        <v>0</v>
      </c>
      <c r="H45" s="34">
        <f t="shared" si="2"/>
        <v>-1.097299764829529E-06</v>
      </c>
    </row>
    <row r="46" spans="1:8" ht="15">
      <c r="A46" s="4"/>
      <c r="B46" s="4" t="s">
        <v>42</v>
      </c>
      <c r="C46" s="13">
        <v>66330</v>
      </c>
      <c r="D46" s="14">
        <f>20917.5+15138+15138</f>
        <v>51193.5</v>
      </c>
      <c r="E46" s="14">
        <v>15137</v>
      </c>
      <c r="F46" s="15">
        <f t="shared" si="3"/>
        <v>66330.5</v>
      </c>
      <c r="G46" s="15">
        <v>0</v>
      </c>
      <c r="H46" s="34">
        <f t="shared" si="2"/>
        <v>-7.538067239520885E-06</v>
      </c>
    </row>
    <row r="47" spans="1:8" ht="15">
      <c r="A47" s="4">
        <v>3505</v>
      </c>
      <c r="B47" s="4" t="s">
        <v>43</v>
      </c>
      <c r="C47" s="13">
        <v>263622</v>
      </c>
      <c r="D47" s="14">
        <f>65905.5+65906+65906</f>
        <v>197717.5</v>
      </c>
      <c r="E47" s="14">
        <v>65905</v>
      </c>
      <c r="F47" s="15">
        <f t="shared" si="3"/>
        <v>263622.5</v>
      </c>
      <c r="G47" s="15">
        <v>0</v>
      </c>
      <c r="H47" s="34">
        <f t="shared" si="2"/>
        <v>-1.8966550592303122E-06</v>
      </c>
    </row>
    <row r="48" spans="1:8" ht="15">
      <c r="A48" s="4"/>
      <c r="B48" s="4" t="s">
        <v>44</v>
      </c>
      <c r="C48" s="13">
        <v>130500</v>
      </c>
      <c r="D48" s="14">
        <f>32625+32625+32625</f>
        <v>97875</v>
      </c>
      <c r="E48" s="14">
        <v>32625</v>
      </c>
      <c r="F48" s="15">
        <f t="shared" si="3"/>
        <v>130500</v>
      </c>
      <c r="G48" s="15">
        <f t="shared" si="1"/>
        <v>0</v>
      </c>
      <c r="H48" s="34">
        <f t="shared" si="2"/>
        <v>0</v>
      </c>
    </row>
    <row r="49" spans="1:8" ht="15">
      <c r="A49" s="4">
        <v>3506</v>
      </c>
      <c r="B49" s="4" t="s">
        <v>45</v>
      </c>
      <c r="C49" s="13">
        <v>4815145.31</v>
      </c>
      <c r="D49" s="14">
        <f>1203994+1281036+22938.31+1196071</f>
        <v>3704039.31</v>
      </c>
      <c r="E49" s="14">
        <v>1111106</v>
      </c>
      <c r="F49" s="15">
        <f t="shared" si="3"/>
        <v>4815145.3100000005</v>
      </c>
      <c r="G49" s="15">
        <f t="shared" si="1"/>
        <v>0</v>
      </c>
      <c r="H49" s="34">
        <f t="shared" si="2"/>
        <v>0</v>
      </c>
    </row>
    <row r="50" spans="1:8" ht="15">
      <c r="A50" s="4">
        <v>4203</v>
      </c>
      <c r="B50" s="4" t="s">
        <v>46</v>
      </c>
      <c r="C50" s="13">
        <v>3005395</v>
      </c>
      <c r="D50" s="14">
        <f>751348.75+751446+751349</f>
        <v>2254143.75</v>
      </c>
      <c r="E50" s="14">
        <v>751251</v>
      </c>
      <c r="F50" s="15">
        <f t="shared" si="3"/>
        <v>3005394.75</v>
      </c>
      <c r="G50" s="15">
        <v>0</v>
      </c>
      <c r="H50" s="34">
        <f t="shared" si="2"/>
        <v>8.318374122850969E-08</v>
      </c>
    </row>
    <row r="51" spans="1:8" ht="15">
      <c r="A51" s="4">
        <v>43041</v>
      </c>
      <c r="B51" s="12" t="s">
        <v>47</v>
      </c>
      <c r="C51" s="13">
        <v>25000</v>
      </c>
      <c r="D51" s="14">
        <v>25000</v>
      </c>
      <c r="E51" s="14">
        <v>0</v>
      </c>
      <c r="F51" s="15">
        <f t="shared" si="3"/>
        <v>25000</v>
      </c>
      <c r="G51" s="15">
        <f t="shared" si="1"/>
        <v>0</v>
      </c>
      <c r="H51" s="34">
        <f t="shared" si="2"/>
        <v>0</v>
      </c>
    </row>
    <row r="52" spans="1:8" ht="15">
      <c r="A52" s="4">
        <v>43042</v>
      </c>
      <c r="B52" s="12" t="s">
        <v>48</v>
      </c>
      <c r="C52" s="13">
        <v>67716</v>
      </c>
      <c r="D52" s="14">
        <f>16929+16929+16929</f>
        <v>50787</v>
      </c>
      <c r="E52" s="14">
        <v>16929</v>
      </c>
      <c r="F52" s="15">
        <f t="shared" si="3"/>
        <v>67716</v>
      </c>
      <c r="G52" s="15">
        <f t="shared" si="1"/>
        <v>0</v>
      </c>
      <c r="H52" s="34">
        <f t="shared" si="2"/>
        <v>0</v>
      </c>
    </row>
    <row r="53" spans="1:8" ht="15">
      <c r="A53" s="4">
        <v>43043</v>
      </c>
      <c r="B53" s="12" t="s">
        <v>49</v>
      </c>
      <c r="C53" s="13">
        <v>336778.25</v>
      </c>
      <c r="D53" s="14">
        <f>90933.25+90427+1038.25+81602</f>
        <v>264000.5</v>
      </c>
      <c r="E53" s="14">
        <v>72778</v>
      </c>
      <c r="F53" s="15">
        <f t="shared" si="3"/>
        <v>336778.5</v>
      </c>
      <c r="G53" s="15">
        <v>0</v>
      </c>
      <c r="H53" s="34">
        <f t="shared" si="2"/>
        <v>-7.4232822333542E-07</v>
      </c>
    </row>
    <row r="54" spans="1:8" ht="15">
      <c r="A54" s="4">
        <v>43044</v>
      </c>
      <c r="B54" s="12" t="s">
        <v>50</v>
      </c>
      <c r="C54" s="13">
        <v>311171</v>
      </c>
      <c r="D54" s="14">
        <f>78032.75+84011+77713</f>
        <v>239756.75</v>
      </c>
      <c r="E54" s="14">
        <v>71414</v>
      </c>
      <c r="F54" s="15">
        <f t="shared" si="3"/>
        <v>311170.75</v>
      </c>
      <c r="G54" s="15">
        <v>0</v>
      </c>
      <c r="H54" s="34">
        <f t="shared" si="2"/>
        <v>8.034167708892426E-07</v>
      </c>
    </row>
    <row r="55" spans="1:8" ht="15">
      <c r="A55" s="4">
        <v>43047</v>
      </c>
      <c r="B55" s="12" t="s">
        <v>51</v>
      </c>
      <c r="C55" s="13">
        <v>75000</v>
      </c>
      <c r="D55" s="14">
        <f>18750+18750+18750</f>
        <v>56250</v>
      </c>
      <c r="E55" s="14">
        <v>18750</v>
      </c>
      <c r="F55" s="15">
        <f t="shared" si="3"/>
        <v>75000</v>
      </c>
      <c r="G55" s="15">
        <f t="shared" si="1"/>
        <v>0</v>
      </c>
      <c r="H55" s="34">
        <f t="shared" si="2"/>
        <v>0</v>
      </c>
    </row>
    <row r="56" spans="1:8" ht="15">
      <c r="A56" s="4">
        <v>43048</v>
      </c>
      <c r="B56" s="12" t="s">
        <v>52</v>
      </c>
      <c r="C56" s="13">
        <v>137298.25</v>
      </c>
      <c r="D56" s="14">
        <f>36070.25+37432+538.25+33563</f>
        <v>107603.5</v>
      </c>
      <c r="E56" s="14">
        <v>29695</v>
      </c>
      <c r="F56" s="15">
        <f t="shared" si="3"/>
        <v>137298.5</v>
      </c>
      <c r="G56" s="15">
        <v>0</v>
      </c>
      <c r="H56" s="34">
        <f t="shared" si="2"/>
        <v>-1.820853506862008E-06</v>
      </c>
    </row>
    <row r="57" spans="1:8" ht="15">
      <c r="A57" s="4">
        <v>43049</v>
      </c>
      <c r="B57" s="12" t="s">
        <v>53</v>
      </c>
      <c r="C57" s="13">
        <v>912174.5</v>
      </c>
      <c r="D57" s="14">
        <f>228043.625+228044+228044</f>
        <v>684131.625</v>
      </c>
      <c r="E57" s="14">
        <v>228043</v>
      </c>
      <c r="F57" s="15">
        <f t="shared" si="3"/>
        <v>912174.625</v>
      </c>
      <c r="G57" s="15">
        <v>0</v>
      </c>
      <c r="H57" s="34">
        <f t="shared" si="2"/>
        <v>-1.3703518342289556E-07</v>
      </c>
    </row>
    <row r="58" spans="1:8" ht="15">
      <c r="A58" s="4">
        <v>43050</v>
      </c>
      <c r="B58" s="12" t="s">
        <v>54</v>
      </c>
      <c r="C58" s="13">
        <v>137924</v>
      </c>
      <c r="D58" s="14">
        <f>27755+32192+26389+27593</f>
        <v>113929</v>
      </c>
      <c r="E58" s="14">
        <v>23995</v>
      </c>
      <c r="F58" s="15">
        <f t="shared" si="3"/>
        <v>137924</v>
      </c>
      <c r="G58" s="15">
        <f t="shared" si="1"/>
        <v>0</v>
      </c>
      <c r="H58" s="34">
        <f t="shared" si="2"/>
        <v>0</v>
      </c>
    </row>
    <row r="59" spans="1:8" ht="15">
      <c r="A59" s="4">
        <v>43051</v>
      </c>
      <c r="B59" s="12" t="s">
        <v>55</v>
      </c>
      <c r="C59" s="13">
        <v>3500</v>
      </c>
      <c r="D59" s="14">
        <f>875+875+875</f>
        <v>2625</v>
      </c>
      <c r="E59" s="14">
        <v>875</v>
      </c>
      <c r="F59" s="15">
        <f t="shared" si="3"/>
        <v>3500</v>
      </c>
      <c r="G59" s="15">
        <f t="shared" si="1"/>
        <v>0</v>
      </c>
      <c r="H59" s="34">
        <f t="shared" si="2"/>
        <v>0</v>
      </c>
    </row>
    <row r="60" spans="1:8" ht="15">
      <c r="A60" s="4">
        <v>43052</v>
      </c>
      <c r="B60" s="12" t="s">
        <v>56</v>
      </c>
      <c r="C60" s="13">
        <v>73023</v>
      </c>
      <c r="D60" s="14">
        <f>18255.75+21299+18256</f>
        <v>57810.75</v>
      </c>
      <c r="E60" s="14">
        <v>15212</v>
      </c>
      <c r="F60" s="15">
        <f t="shared" si="3"/>
        <v>73022.75</v>
      </c>
      <c r="G60" s="15">
        <v>0</v>
      </c>
      <c r="H60" s="34">
        <f t="shared" si="2"/>
        <v>3.4235788723968597E-06</v>
      </c>
    </row>
    <row r="61" spans="1:8" ht="15">
      <c r="A61" s="4">
        <v>4401</v>
      </c>
      <c r="B61" s="21" t="s">
        <v>57</v>
      </c>
      <c r="C61" s="22">
        <v>552360.92</v>
      </c>
      <c r="D61" s="23">
        <f>273222.75+1632.92+97711</f>
        <v>372566.67</v>
      </c>
      <c r="E61" s="23">
        <v>179794</v>
      </c>
      <c r="F61" s="24">
        <f t="shared" si="3"/>
        <v>552360.6699999999</v>
      </c>
      <c r="G61" s="15">
        <v>0</v>
      </c>
      <c r="H61" s="34">
        <f t="shared" si="2"/>
        <v>4.526026209372702E-07</v>
      </c>
    </row>
    <row r="62" spans="1:8" ht="15">
      <c r="A62" s="4">
        <v>44011</v>
      </c>
      <c r="B62" s="12" t="s">
        <v>58</v>
      </c>
      <c r="C62" s="13">
        <v>43630.75</v>
      </c>
      <c r="D62" s="14">
        <f>10907.6875+10908+10908</f>
        <v>32723.6875</v>
      </c>
      <c r="E62" s="14">
        <v>10907</v>
      </c>
      <c r="F62" s="15">
        <f t="shared" si="3"/>
        <v>43630.6875</v>
      </c>
      <c r="G62" s="15">
        <v>0</v>
      </c>
      <c r="H62" s="34">
        <f t="shared" si="2"/>
        <v>1.4324759487482908E-06</v>
      </c>
    </row>
    <row r="63" spans="1:8" ht="15">
      <c r="A63" s="4">
        <v>44012</v>
      </c>
      <c r="B63" s="21" t="s">
        <v>59</v>
      </c>
      <c r="C63" s="22">
        <f>49100818+121476</f>
        <v>49222294</v>
      </c>
      <c r="D63" s="23">
        <f>15400906+12275205+121476+21424707</f>
        <v>49222294</v>
      </c>
      <c r="E63" s="23">
        <v>0</v>
      </c>
      <c r="F63" s="24">
        <f t="shared" si="3"/>
        <v>49222294</v>
      </c>
      <c r="G63" s="15">
        <f t="shared" si="1"/>
        <v>0</v>
      </c>
      <c r="H63" s="34">
        <f t="shared" si="2"/>
        <v>0</v>
      </c>
    </row>
    <row r="64" spans="1:8" ht="15">
      <c r="A64" s="4">
        <v>44015</v>
      </c>
      <c r="B64" s="4" t="s">
        <v>60</v>
      </c>
      <c r="C64" s="13">
        <v>62960</v>
      </c>
      <c r="D64" s="14">
        <f>15740+15740+15740</f>
        <v>47220</v>
      </c>
      <c r="E64" s="14">
        <v>15740</v>
      </c>
      <c r="F64" s="15">
        <f t="shared" si="3"/>
        <v>62960</v>
      </c>
      <c r="G64" s="15">
        <f t="shared" si="1"/>
        <v>0</v>
      </c>
      <c r="H64" s="34">
        <f t="shared" si="2"/>
        <v>0</v>
      </c>
    </row>
    <row r="65" spans="1:8" ht="15">
      <c r="A65" s="4">
        <v>4402</v>
      </c>
      <c r="B65" s="4" t="s">
        <v>61</v>
      </c>
      <c r="C65" s="13">
        <v>1489295</v>
      </c>
      <c r="D65" s="14">
        <f>460653.25+372324+372324</f>
        <v>1205301.25</v>
      </c>
      <c r="E65" s="14">
        <v>283994</v>
      </c>
      <c r="F65" s="15">
        <f t="shared" si="3"/>
        <v>1489295.25</v>
      </c>
      <c r="G65" s="15">
        <v>0</v>
      </c>
      <c r="H65" s="34">
        <f t="shared" si="2"/>
        <v>-1.6786466083829055E-07</v>
      </c>
    </row>
    <row r="66" spans="1:9" ht="15">
      <c r="A66" s="4">
        <v>44021</v>
      </c>
      <c r="B66" s="4" t="s">
        <v>62</v>
      </c>
      <c r="C66" s="13">
        <v>1082775</v>
      </c>
      <c r="D66" s="14">
        <f>272550+270050+1725+270050+850</f>
        <v>815225</v>
      </c>
      <c r="E66" s="14">
        <v>267550</v>
      </c>
      <c r="F66" s="15">
        <f t="shared" si="3"/>
        <v>1082775</v>
      </c>
      <c r="G66" s="15">
        <f t="shared" si="1"/>
        <v>0</v>
      </c>
      <c r="H66" s="34">
        <f t="shared" si="2"/>
        <v>0</v>
      </c>
      <c r="I66" s="11"/>
    </row>
    <row r="67" spans="1:9" ht="15">
      <c r="A67" s="2"/>
      <c r="B67" s="3" t="s">
        <v>1</v>
      </c>
      <c r="C67" s="19">
        <f>SUM(C5:C66)</f>
        <v>80612901.34</v>
      </c>
      <c r="D67" s="19">
        <f>SUM(D5:D66)</f>
        <v>73862580.1325</v>
      </c>
      <c r="E67" s="19">
        <f>SUM(E5:E66)</f>
        <v>6750326</v>
      </c>
      <c r="F67" s="19">
        <f>SUM(F5:F66)</f>
        <v>80612906.1325</v>
      </c>
      <c r="G67" s="19">
        <f>SUM(G5:G66)</f>
        <v>0</v>
      </c>
      <c r="H67" s="26"/>
      <c r="I67" s="11"/>
    </row>
    <row r="68" spans="1:7" ht="15">
      <c r="A68" s="2"/>
      <c r="B68" s="3"/>
      <c r="C68" s="16"/>
      <c r="D68" s="16"/>
      <c r="E68" s="16"/>
      <c r="F68" s="16"/>
      <c r="G68" s="16"/>
    </row>
    <row r="69" spans="2:7" ht="18" customHeight="1">
      <c r="B69" s="25"/>
      <c r="C69" s="28"/>
      <c r="D69" s="16"/>
      <c r="E69" s="16"/>
      <c r="F69" s="16"/>
      <c r="G69" s="16"/>
    </row>
    <row r="70" spans="3:7" ht="18" customHeight="1">
      <c r="C70" s="16"/>
      <c r="D70" s="16"/>
      <c r="E70" s="17"/>
      <c r="F70" s="17"/>
      <c r="G70" s="17"/>
    </row>
    <row r="71" spans="3:7" ht="18" customHeight="1">
      <c r="C71" s="16"/>
      <c r="D71" s="16"/>
      <c r="E71" s="17"/>
      <c r="F71" s="17"/>
      <c r="G71" s="17"/>
    </row>
    <row r="72" spans="3:7" ht="18" customHeight="1">
      <c r="C72" s="16"/>
      <c r="D72" s="16"/>
      <c r="E72" s="17"/>
      <c r="F72" s="17"/>
      <c r="G72" s="17"/>
    </row>
    <row r="73" spans="3:7" ht="18" customHeight="1">
      <c r="C73" s="16"/>
      <c r="D73" s="16"/>
      <c r="E73" s="17"/>
      <c r="F73" s="17"/>
      <c r="G73" s="17"/>
    </row>
    <row r="74" spans="3:7" ht="18" customHeight="1">
      <c r="C74" s="16"/>
      <c r="D74" s="16"/>
      <c r="E74" s="17"/>
      <c r="F74" s="17"/>
      <c r="G74" s="17"/>
    </row>
    <row r="75" spans="3:7" ht="18" customHeight="1">
      <c r="C75" s="16"/>
      <c r="D75" s="16"/>
      <c r="E75" s="17"/>
      <c r="F75" s="17"/>
      <c r="G75" s="17"/>
    </row>
    <row r="76" spans="3:7" ht="18" customHeight="1">
      <c r="C76" s="16"/>
      <c r="D76" s="16"/>
      <c r="E76" s="17"/>
      <c r="F76" s="17"/>
      <c r="G76" s="17"/>
    </row>
    <row r="77" spans="3:7" ht="18" customHeight="1">
      <c r="C77" s="16"/>
      <c r="D77" s="16"/>
      <c r="E77" s="17"/>
      <c r="F77" s="17"/>
      <c r="G77" s="17"/>
    </row>
    <row r="78" spans="3:7" ht="18" customHeight="1">
      <c r="C78" s="16"/>
      <c r="D78" s="16"/>
      <c r="E78" s="17"/>
      <c r="F78" s="17"/>
      <c r="G78" s="17"/>
    </row>
    <row r="79" spans="3:7" ht="18" customHeight="1">
      <c r="C79" s="16"/>
      <c r="D79" s="16"/>
      <c r="E79" s="17"/>
      <c r="F79" s="17"/>
      <c r="G79" s="17"/>
    </row>
    <row r="80" spans="3:7" ht="18" customHeight="1">
      <c r="C80" s="18"/>
      <c r="D80" s="18"/>
      <c r="E80" s="17"/>
      <c r="F80" s="17"/>
      <c r="G80" s="17"/>
    </row>
    <row r="81" spans="3:7" ht="18" customHeight="1">
      <c r="C81" s="16"/>
      <c r="D81" s="16"/>
      <c r="E81" s="17"/>
      <c r="F81" s="17"/>
      <c r="G81" s="17"/>
    </row>
  </sheetData>
  <sheetProtection/>
  <mergeCells count="7">
    <mergeCell ref="F2:F4"/>
    <mergeCell ref="B2:B4"/>
    <mergeCell ref="C2:C4"/>
    <mergeCell ref="E2:E4"/>
    <mergeCell ref="D2:D4"/>
    <mergeCell ref="H2:H4"/>
    <mergeCell ref="G2:G4"/>
  </mergeCells>
  <printOptions horizontalCentered="1" verticalCentered="1"/>
  <pageMargins left="0.7" right="0.7" top="0.75" bottom="0.75" header="0.3" footer="0.3"/>
  <pageSetup fitToWidth="0" fitToHeight="1" horizontalDpi="600" verticalDpi="600" orientation="portrait" scale="55" r:id="rId1"/>
  <headerFooter differentFirst="1" alignWithMargins="0">
    <oddFooter>&amp;C&amp;8&amp;K00-047f:/Finance Dir/FY2016/fy16budget/proposed/fy15carryover.xls</oddFooter>
    <firstHeader>&amp;C&amp;"Arial,Bold"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Cellell Dalton</dc:creator>
  <cp:keywords/>
  <dc:description/>
  <cp:lastModifiedBy>Felecia Bowman</cp:lastModifiedBy>
  <cp:lastPrinted>2020-12-08T16:34:12Z</cp:lastPrinted>
  <dcterms:created xsi:type="dcterms:W3CDTF">2013-06-27T15:27:09Z</dcterms:created>
  <dcterms:modified xsi:type="dcterms:W3CDTF">2021-03-03T20:50:19Z</dcterms:modified>
  <cp:category/>
  <cp:version/>
  <cp:contentType/>
  <cp:contentStatus/>
</cp:coreProperties>
</file>